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santi/Downloads/"/>
    </mc:Choice>
  </mc:AlternateContent>
  <xr:revisionPtr revIDLastSave="0" documentId="13_ncr:1_{1077E6F4-66C2-8F43-BF1D-63343306E5C5}" xr6:coauthVersionLast="47" xr6:coauthVersionMax="47" xr10:uidLastSave="{00000000-0000-0000-0000-000000000000}"/>
  <bookViews>
    <workbookView xWindow="3580" yWindow="2580" windowWidth="27240" windowHeight="16180" xr2:uid="{AC3A8B3B-6371-6F4A-8C50-BC776BC84A5D}"/>
  </bookViews>
  <sheets>
    <sheet name="DRM20g100g_batch10H n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N32" i="1"/>
  <c r="O32" i="1"/>
  <c r="P32" i="1"/>
  <c r="Q32" i="1"/>
  <c r="I33" i="1"/>
  <c r="J33" i="1"/>
  <c r="K33" i="1"/>
  <c r="L33" i="1"/>
  <c r="M33" i="1"/>
  <c r="N33" i="1"/>
  <c r="O33" i="1"/>
  <c r="P33" i="1"/>
  <c r="Q33" i="1"/>
  <c r="I34" i="1"/>
  <c r="J34" i="1"/>
  <c r="K34" i="1"/>
  <c r="L34" i="1"/>
  <c r="M34" i="1"/>
  <c r="N34" i="1"/>
  <c r="O34" i="1"/>
  <c r="P34" i="1"/>
  <c r="Q34" i="1"/>
  <c r="I35" i="1"/>
  <c r="J35" i="1"/>
  <c r="K35" i="1"/>
  <c r="L35" i="1"/>
  <c r="M35" i="1"/>
  <c r="N35" i="1"/>
  <c r="O35" i="1"/>
  <c r="P35" i="1"/>
  <c r="Q35" i="1"/>
  <c r="H35" i="1"/>
  <c r="H34" i="1"/>
  <c r="H33" i="1"/>
  <c r="D25" i="1"/>
  <c r="E24" i="1"/>
  <c r="E23" i="1"/>
  <c r="D11" i="1"/>
  <c r="Q39" i="1" l="1"/>
  <c r="Q44" i="1" s="1"/>
  <c r="M39" i="1"/>
  <c r="M44" i="1" s="1"/>
  <c r="J39" i="1"/>
  <c r="J44" i="1" s="1"/>
  <c r="O38" i="1"/>
  <c r="O43" i="1" s="1"/>
  <c r="L38" i="1"/>
  <c r="L43" i="1" s="1"/>
  <c r="J38" i="1"/>
  <c r="J43" i="1" s="1"/>
  <c r="H38" i="1"/>
  <c r="H43" i="1" s="1"/>
  <c r="M37" i="1"/>
  <c r="M42" i="1" s="1"/>
  <c r="I37" i="1"/>
  <c r="I42" i="1" s="1"/>
  <c r="E25" i="1"/>
  <c r="F24" i="1"/>
  <c r="F23" i="1"/>
  <c r="N39" i="1"/>
  <c r="N44" i="1" s="1"/>
  <c r="L39" i="1"/>
  <c r="L44" i="1" s="1"/>
  <c r="I39" i="1"/>
  <c r="I44" i="1" s="1"/>
  <c r="N36" i="1"/>
  <c r="P39" i="1"/>
  <c r="P44" i="1" s="1"/>
  <c r="K39" i="1"/>
  <c r="K44" i="1" s="1"/>
  <c r="N38" i="1"/>
  <c r="N43" i="1" s="1"/>
  <c r="Q37" i="1"/>
  <c r="Q42" i="1" s="1"/>
  <c r="L37" i="1"/>
  <c r="L42" i="1" s="1"/>
  <c r="K37" i="1"/>
  <c r="K42" i="1" s="1"/>
  <c r="Q36" i="1"/>
  <c r="H36" i="1"/>
  <c r="O39" i="1"/>
  <c r="O44" i="1" s="1"/>
  <c r="H39" i="1"/>
  <c r="H44" i="1" s="1"/>
  <c r="P38" i="1"/>
  <c r="P43" i="1" s="1"/>
  <c r="M38" i="1"/>
  <c r="M43" i="1" s="1"/>
  <c r="I38" i="1"/>
  <c r="I43" i="1" s="1"/>
  <c r="P37" i="1"/>
  <c r="P42" i="1" s="1"/>
  <c r="N37" i="1"/>
  <c r="N42" i="1" s="1"/>
  <c r="H37" i="1"/>
  <c r="H42" i="1" s="1"/>
  <c r="P36" i="1"/>
  <c r="M36" i="1"/>
  <c r="K36" i="1"/>
  <c r="J36" i="1"/>
  <c r="I36" i="1"/>
  <c r="Q38" i="1"/>
  <c r="Q43" i="1" s="1"/>
  <c r="K38" i="1"/>
  <c r="K43" i="1" s="1"/>
  <c r="O37" i="1"/>
  <c r="O42" i="1" s="1"/>
  <c r="J37" i="1"/>
  <c r="J42" i="1" s="1"/>
  <c r="O36" i="1"/>
  <c r="L36" i="1"/>
  <c r="F25" i="1" l="1"/>
  <c r="G24" i="1" s="1"/>
  <c r="H24" i="1" s="1"/>
  <c r="G23" i="1"/>
  <c r="I47" i="1"/>
  <c r="K47" i="1"/>
  <c r="P47" i="1"/>
  <c r="H47" i="1"/>
  <c r="J47" i="1"/>
  <c r="L47" i="1"/>
  <c r="M47" i="1"/>
  <c r="N47" i="1"/>
  <c r="O47" i="1"/>
  <c r="Q47" i="1"/>
  <c r="N41" i="1"/>
  <c r="N40" i="1"/>
  <c r="Q41" i="1"/>
  <c r="Q40" i="1"/>
  <c r="H41" i="1"/>
  <c r="H40" i="1"/>
  <c r="P40" i="1"/>
  <c r="P41" i="1"/>
  <c r="M40" i="1"/>
  <c r="M41" i="1"/>
  <c r="K40" i="1"/>
  <c r="K41" i="1"/>
  <c r="J40" i="1"/>
  <c r="J41" i="1"/>
  <c r="I40" i="1"/>
  <c r="I41" i="1"/>
  <c r="O40" i="1"/>
  <c r="O41" i="1"/>
  <c r="L41" i="1"/>
  <c r="L40" i="1"/>
  <c r="H23" i="1" l="1"/>
  <c r="I23" i="1"/>
  <c r="G25" i="1"/>
  <c r="N45" i="1"/>
  <c r="N50" i="1"/>
  <c r="Q45" i="1"/>
  <c r="Q50" i="1"/>
  <c r="H50" i="1"/>
  <c r="H45" i="1"/>
  <c r="P45" i="1"/>
  <c r="P50" i="1"/>
  <c r="M50" i="1"/>
  <c r="M45" i="1"/>
  <c r="K50" i="1"/>
  <c r="K45" i="1"/>
  <c r="J50" i="1"/>
  <c r="J45" i="1"/>
  <c r="I45" i="1"/>
  <c r="I50" i="1"/>
  <c r="O45" i="1"/>
  <c r="O50" i="1"/>
  <c r="L50" i="1"/>
  <c r="L45" i="1"/>
  <c r="R47" i="1"/>
  <c r="J49" i="1" l="1"/>
  <c r="H49" i="1"/>
  <c r="Q49" i="1"/>
  <c r="I49" i="1"/>
  <c r="O49" i="1"/>
  <c r="L49" i="1"/>
  <c r="N49" i="1"/>
  <c r="P49" i="1"/>
  <c r="K49" i="1"/>
  <c r="M49" i="1"/>
  <c r="Q48" i="1"/>
  <c r="P48" i="1"/>
  <c r="K48" i="1"/>
  <c r="I48" i="1"/>
  <c r="M48" i="1"/>
  <c r="N48" i="1"/>
  <c r="H48" i="1"/>
  <c r="J48" i="1"/>
  <c r="L48" i="1"/>
  <c r="O48" i="1"/>
  <c r="H25" i="1"/>
  <c r="I46" i="1"/>
  <c r="M46" i="1"/>
  <c r="H46" i="1"/>
  <c r="J46" i="1"/>
  <c r="K46" i="1"/>
  <c r="L46" i="1"/>
  <c r="N46" i="1"/>
  <c r="O46" i="1"/>
  <c r="P46" i="1"/>
  <c r="Q46" i="1"/>
  <c r="R49" i="1"/>
  <c r="R50" i="1"/>
  <c r="R46" i="1" l="1"/>
  <c r="R48" i="1"/>
</calcChain>
</file>

<file path=xl/sharedStrings.xml><?xml version="1.0" encoding="utf-8"?>
<sst xmlns="http://schemas.openxmlformats.org/spreadsheetml/2006/main" count="105" uniqueCount="83">
  <si>
    <t>↑↑↑(ต้องเก็บทุกครั้งที่รันด้วย Mass Flow Meter)</t>
  </si>
  <si>
    <t>Calibration Curve Parameters</t>
  </si>
  <si>
    <t>Gas Compound</t>
  </si>
  <si>
    <t>Y</t>
  </si>
  <si>
    <t>m</t>
  </si>
  <si>
    <t>x</t>
  </si>
  <si>
    <t>intercept</t>
  </si>
  <si>
    <t>Mol</t>
  </si>
  <si>
    <t>slope</t>
  </si>
  <si>
    <t>Area</t>
  </si>
  <si>
    <t>Calibration area range</t>
  </si>
  <si>
    <t>H2</t>
  </si>
  <si>
    <t>(range 800-36948)</t>
  </si>
  <si>
    <t>CH4</t>
  </si>
  <si>
    <t>y</t>
  </si>
  <si>
    <t>(range 32000-483559)</t>
  </si>
  <si>
    <t>CO</t>
  </si>
  <si>
    <t>(range 174689-330693)</t>
  </si>
  <si>
    <t>CO2</t>
  </si>
  <si>
    <t>(range 43573-796074))</t>
  </si>
  <si>
    <t>Feed</t>
  </si>
  <si>
    <t>Flow rate ป้อน (CC/min)</t>
  </si>
  <si>
    <t>mol from GC</t>
  </si>
  <si>
    <t>Partial mol</t>
  </si>
  <si>
    <t>Vol Flow Rate (L/h)</t>
  </si>
  <si>
    <t>Actual CH4:CO2 ratio</t>
  </si>
  <si>
    <t>CH4 ()</t>
  </si>
  <si>
    <t>CO2 ()</t>
  </si>
  <si>
    <t>Total</t>
  </si>
  <si>
    <t>Outlet</t>
  </si>
  <si>
    <t>Time</t>
  </si>
  <si>
    <r>
      <t>H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 xml:space="preserve"> (0.667)</t>
    </r>
  </si>
  <si>
    <t>14034.062</t>
  </si>
  <si>
    <t>14054.641</t>
  </si>
  <si>
    <t>13978.257</t>
  </si>
  <si>
    <t>13914.435</t>
  </si>
  <si>
    <t>13750.396</t>
  </si>
  <si>
    <t>13702.827</t>
  </si>
  <si>
    <t>13691.702</t>
  </si>
  <si>
    <t>13690.213</t>
  </si>
  <si>
    <t>CO (0.860)</t>
  </si>
  <si>
    <t>279132.961</t>
  </si>
  <si>
    <t>277871.615</t>
  </si>
  <si>
    <t>278087.619</t>
  </si>
  <si>
    <t>279511.953</t>
  </si>
  <si>
    <t>283443.343</t>
  </si>
  <si>
    <t>282395.530</t>
  </si>
  <si>
    <t>281865.241</t>
  </si>
  <si>
    <t>281982.713</t>
  </si>
  <si>
    <r>
      <t>CH</t>
    </r>
    <r>
      <rPr>
        <vertAlign val="subscript"/>
        <sz val="11"/>
        <color rgb="FFFF0000"/>
        <rFont val="Calibri"/>
        <family val="2"/>
        <scheme val="minor"/>
      </rPr>
      <t>4</t>
    </r>
    <r>
      <rPr>
        <sz val="11"/>
        <color rgb="FFFF0000"/>
        <rFont val="Calibri"/>
        <family val="2"/>
        <scheme val="minor"/>
      </rPr>
      <t xml:space="preserve"> (1.339)</t>
    </r>
  </si>
  <si>
    <t>22259.753</t>
  </si>
  <si>
    <t>21958.296</t>
  </si>
  <si>
    <t>22419.173</t>
  </si>
  <si>
    <t>23029.606</t>
  </si>
  <si>
    <t>23047.528</t>
  </si>
  <si>
    <t>22947.025</t>
  </si>
  <si>
    <t>22689.396</t>
  </si>
  <si>
    <t>22658.105</t>
  </si>
  <si>
    <r>
      <t>CO</t>
    </r>
    <r>
      <rPr>
        <vertAlign val="subscript"/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2"/>
        <scheme val="minor"/>
      </rPr>
      <t xml:space="preserve"> (2.547)</t>
    </r>
  </si>
  <si>
    <t>25719.332</t>
  </si>
  <si>
    <t>26625.876</t>
  </si>
  <si>
    <t>25937.483</t>
  </si>
  <si>
    <t>24982.771</t>
  </si>
  <si>
    <t>23223.663</t>
  </si>
  <si>
    <t>22632.850</t>
  </si>
  <si>
    <t>22020.458</t>
  </si>
  <si>
    <t>21912.063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</si>
  <si>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</si>
  <si>
    <r>
      <t>CH</t>
    </r>
    <r>
      <rPr>
        <vertAlign val="subscript"/>
        <sz val="11"/>
        <color theme="1"/>
        <rFont val="Calibri"/>
        <family val="2"/>
        <scheme val="minor"/>
      </rPr>
      <t>4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</si>
  <si>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</si>
  <si>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Partial Mol</t>
  </si>
  <si>
    <t>Total Patial Mol (Must = 1)</t>
  </si>
  <si>
    <t>Vol Flow Rate (L/h) 
(Use this to calculated 
DRM Activities)</t>
  </si>
  <si>
    <t>Total Flow Rate (L/h)</t>
  </si>
  <si>
    <t>Average 10h</t>
  </si>
  <si>
    <t>% Conversion CH₄</t>
  </si>
  <si>
    <t>% Conversion CO₂</t>
  </si>
  <si>
    <t>% Yeild CO</t>
  </si>
  <si>
    <t>% Yeild H₂</t>
  </si>
  <si>
    <t>H2/CO</t>
  </si>
  <si>
    <t xml:space="preserve"> Mixgas Total Input (CH4+CO2) (mL/min)</t>
  </si>
  <si>
    <t>Total Output (CO+H2+CO+H2) (mL/min)</t>
  </si>
  <si>
    <t>GC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</si>
</sst>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0"/>
    <numFmt numFmtId="166" formatCode="0.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1F1F1F"/>
      <name val="Arial"/>
      <family val="2"/>
    </font>
    <font>
      <sz val="11"/>
      <color rgb="FF1F1F1F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sz val="8.25"/>
      <color rgb="FF000000"/>
      <name val="Tahoma"/>
      <family val="2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1" fontId="0" fillId="0" borderId="3" xfId="0" applyNumberFormat="1" applyBorder="1" applyAlignment="1">
      <alignment horizontal="center"/>
    </xf>
    <xf numFmtId="11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1" fontId="0" fillId="0" borderId="0" xfId="0" applyNumberForma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5" xfId="0" applyFont="1" applyBorder="1"/>
    <xf numFmtId="2" fontId="1" fillId="0" borderId="0" xfId="0" applyNumberFormat="1" applyFont="1" applyAlignment="1">
      <alignment horizontal="center"/>
    </xf>
    <xf numFmtId="11" fontId="4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0" fontId="0" fillId="0" borderId="5" xfId="0" applyBorder="1"/>
    <xf numFmtId="0" fontId="0" fillId="3" borderId="5" xfId="0" applyFill="1" applyBorder="1"/>
    <xf numFmtId="0" fontId="0" fillId="3" borderId="2" xfId="0" applyFill="1" applyBorder="1"/>
    <xf numFmtId="2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4" fillId="4" borderId="9" xfId="0" applyNumberFormat="1" applyFont="1" applyFill="1" applyBorder="1" applyAlignment="1">
      <alignment horizontal="center" vertical="center" readingOrder="1"/>
    </xf>
    <xf numFmtId="0" fontId="6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49" fontId="8" fillId="4" borderId="12" xfId="0" applyNumberFormat="1" applyFont="1" applyFill="1" applyBorder="1" applyAlignment="1">
      <alignment horizontal="left" vertical="center" readingOrder="1"/>
    </xf>
    <xf numFmtId="0" fontId="0" fillId="3" borderId="13" xfId="0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/>
    <xf numFmtId="164" fontId="0" fillId="0" borderId="15" xfId="0" applyNumberFormat="1" applyBorder="1" applyAlignment="1">
      <alignment horizontal="center"/>
    </xf>
    <xf numFmtId="11" fontId="0" fillId="0" borderId="15" xfId="0" applyNumberFormat="1" applyBorder="1" applyAlignment="1">
      <alignment horizontal="center"/>
    </xf>
    <xf numFmtId="11" fontId="0" fillId="0" borderId="16" xfId="0" applyNumberFormat="1" applyBorder="1" applyAlignment="1">
      <alignment horizontal="center"/>
    </xf>
    <xf numFmtId="0" fontId="0" fillId="3" borderId="17" xfId="0" applyFill="1" applyBorder="1" applyAlignment="1">
      <alignment vertical="center"/>
    </xf>
    <xf numFmtId="0" fontId="0" fillId="0" borderId="18" xfId="0" applyBorder="1" applyAlignment="1">
      <alignment horizontal="center"/>
    </xf>
    <xf numFmtId="164" fontId="0" fillId="0" borderId="3" xfId="0" applyNumberFormat="1" applyBorder="1"/>
    <xf numFmtId="11" fontId="0" fillId="0" borderId="19" xfId="0" applyNumberFormat="1" applyBorder="1" applyAlignment="1">
      <alignment horizontal="center"/>
    </xf>
    <xf numFmtId="11" fontId="0" fillId="0" borderId="18" xfId="0" applyNumberFormat="1" applyBorder="1" applyAlignment="1">
      <alignment horizontal="center"/>
    </xf>
    <xf numFmtId="0" fontId="0" fillId="3" borderId="20" xfId="0" applyFill="1" applyBorder="1" applyAlignment="1">
      <alignment vertical="center"/>
    </xf>
    <xf numFmtId="0" fontId="0" fillId="0" borderId="21" xfId="0" applyBorder="1" applyAlignment="1">
      <alignment horizontal="center"/>
    </xf>
    <xf numFmtId="164" fontId="0" fillId="0" borderId="2" xfId="0" applyNumberFormat="1" applyBorder="1"/>
    <xf numFmtId="11" fontId="0" fillId="0" borderId="2" xfId="0" applyNumberFormat="1" applyBorder="1" applyAlignment="1">
      <alignment horizontal="center"/>
    </xf>
    <xf numFmtId="0" fontId="0" fillId="3" borderId="20" xfId="0" applyFill="1" applyBorder="1" applyAlignment="1">
      <alignment horizontal="right" vertical="center"/>
    </xf>
    <xf numFmtId="0" fontId="0" fillId="0" borderId="22" xfId="0" applyBorder="1" applyAlignment="1">
      <alignment horizontal="center"/>
    </xf>
    <xf numFmtId="164" fontId="0" fillId="0" borderId="23" xfId="0" applyNumberFormat="1" applyBorder="1"/>
    <xf numFmtId="11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4" xfId="0" applyNumberFormat="1" applyBorder="1"/>
    <xf numFmtId="11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3" borderId="26" xfId="0" applyFill="1" applyBorder="1" applyAlignment="1">
      <alignment horizontal="right" vertical="center"/>
    </xf>
    <xf numFmtId="2" fontId="0" fillId="0" borderId="2" xfId="0" applyNumberFormat="1" applyBorder="1" applyAlignment="1">
      <alignment horizontal="center"/>
    </xf>
    <xf numFmtId="0" fontId="0" fillId="3" borderId="27" xfId="0" applyFill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0" fillId="0" borderId="15" xfId="0" applyBorder="1"/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3" borderId="5" xfId="0" applyFill="1" applyBorder="1" applyAlignment="1">
      <alignment horizontal="right" vertical="center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5" fontId="0" fillId="0" borderId="3" xfId="0" applyNumberFormat="1" applyBorder="1"/>
    <xf numFmtId="165" fontId="0" fillId="0" borderId="3" xfId="0" applyNumberFormat="1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0" borderId="23" xfId="0" applyBorder="1"/>
    <xf numFmtId="0" fontId="0" fillId="0" borderId="23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 wrapText="1"/>
    </xf>
    <xf numFmtId="0" fontId="0" fillId="3" borderId="17" xfId="0" applyFill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11" fontId="4" fillId="0" borderId="0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43BA-C33F-A24D-AA51-DBB098E84649}">
  <sheetPr>
    <tabColor theme="9" tint="0.39997558519241921"/>
  </sheetPr>
  <dimension ref="B2:AD68"/>
  <sheetViews>
    <sheetView tabSelected="1" topLeftCell="A11" zoomScale="82" zoomScaleNormal="112" workbookViewId="0">
      <selection activeCell="E23" sqref="E23"/>
    </sheetView>
  </sheetViews>
  <sheetFormatPr baseColWidth="10" defaultColWidth="8.83203125" defaultRowHeight="15" x14ac:dyDescent="0.2"/>
  <cols>
    <col min="2" max="2" width="31.1640625" bestFit="1" customWidth="1"/>
    <col min="3" max="3" width="36.5" bestFit="1" customWidth="1"/>
    <col min="4" max="4" width="12.5" bestFit="1" customWidth="1"/>
    <col min="5" max="5" width="12.5" customWidth="1"/>
    <col min="6" max="6" width="10.6640625" bestFit="1" customWidth="1"/>
    <col min="7" max="7" width="11.1640625" bestFit="1" customWidth="1"/>
    <col min="8" max="8" width="20.1640625" customWidth="1"/>
    <col min="9" max="9" width="17.33203125" bestFit="1" customWidth="1"/>
    <col min="10" max="11" width="9.5" bestFit="1" customWidth="1"/>
    <col min="12" max="12" width="9" bestFit="1" customWidth="1"/>
    <col min="13" max="13" width="9.33203125" customWidth="1"/>
    <col min="18" max="18" width="10.6640625" bestFit="1" customWidth="1"/>
    <col min="20" max="20" width="16" bestFit="1" customWidth="1"/>
    <col min="22" max="22" width="19.6640625" bestFit="1" customWidth="1"/>
    <col min="23" max="23" width="16.83203125" bestFit="1" customWidth="1"/>
    <col min="24" max="24" width="17.83203125" bestFit="1" customWidth="1"/>
  </cols>
  <sheetData>
    <row r="2" spans="2:30" x14ac:dyDescent="0.2">
      <c r="B2" s="1"/>
      <c r="C2" s="2"/>
    </row>
    <row r="3" spans="2:30" x14ac:dyDescent="0.2">
      <c r="B3" s="83"/>
      <c r="C3" s="84"/>
      <c r="D3" s="85"/>
      <c r="E3" s="85"/>
      <c r="F3" s="85"/>
      <c r="G3" s="85"/>
      <c r="H3" s="85"/>
      <c r="I3" s="85"/>
      <c r="J3" s="85"/>
      <c r="K3" s="85"/>
    </row>
    <row r="4" spans="2:30" x14ac:dyDescent="0.2">
      <c r="B4" s="83"/>
      <c r="C4" s="85"/>
      <c r="D4" s="85"/>
      <c r="E4" s="85"/>
      <c r="F4" s="85"/>
      <c r="G4" s="85"/>
      <c r="H4" s="85"/>
      <c r="I4" s="85"/>
      <c r="J4" s="85"/>
      <c r="K4" s="85"/>
    </row>
    <row r="5" spans="2:30" x14ac:dyDescent="0.2">
      <c r="B5" s="83"/>
      <c r="C5" s="86"/>
      <c r="D5" s="85"/>
      <c r="E5" s="85"/>
      <c r="F5" s="85"/>
      <c r="G5" s="85"/>
      <c r="H5" s="85"/>
      <c r="I5" s="85"/>
      <c r="J5" s="85"/>
      <c r="K5" s="85"/>
    </row>
    <row r="6" spans="2:30" x14ac:dyDescent="0.2">
      <c r="B6" s="83"/>
      <c r="C6" s="85"/>
      <c r="D6" s="85"/>
      <c r="E6" s="85"/>
      <c r="F6" s="85"/>
      <c r="G6" s="85"/>
      <c r="H6" s="85"/>
      <c r="I6" s="85"/>
      <c r="J6" s="85"/>
      <c r="K6" s="85"/>
    </row>
    <row r="7" spans="2:30" x14ac:dyDescent="0.2">
      <c r="B7" s="83"/>
      <c r="C7" s="85"/>
      <c r="D7" s="85"/>
      <c r="E7" s="85"/>
      <c r="F7" s="85"/>
      <c r="G7" s="85"/>
      <c r="H7" s="85"/>
      <c r="I7" s="85"/>
      <c r="J7" s="85"/>
      <c r="K7" s="85"/>
    </row>
    <row r="8" spans="2:30" x14ac:dyDescent="0.2">
      <c r="B8" s="83"/>
      <c r="C8" s="85"/>
      <c r="D8" s="85"/>
      <c r="E8" s="85"/>
      <c r="F8" s="85"/>
      <c r="G8" s="85"/>
      <c r="H8" s="85"/>
      <c r="I8" s="85"/>
      <c r="J8" s="85"/>
      <c r="K8" s="85"/>
    </row>
    <row r="9" spans="2:30" x14ac:dyDescent="0.2">
      <c r="B9" s="83"/>
      <c r="C9" s="86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</row>
    <row r="10" spans="2:30" x14ac:dyDescent="0.2">
      <c r="B10" s="83"/>
      <c r="C10" s="86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</row>
    <row r="11" spans="2:30" x14ac:dyDescent="0.2">
      <c r="B11" s="85"/>
      <c r="C11" s="83" t="s">
        <v>80</v>
      </c>
      <c r="D11" s="87">
        <f>SUM(D23:D24)</f>
        <v>2000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</row>
    <row r="12" spans="2:30" x14ac:dyDescent="0.2">
      <c r="B12" s="85"/>
      <c r="C12" s="83" t="s">
        <v>81</v>
      </c>
      <c r="D12" s="87">
        <v>3429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9"/>
      <c r="U12" s="89"/>
      <c r="V12" s="89"/>
      <c r="W12" s="89"/>
      <c r="X12" s="89"/>
      <c r="Y12" s="85"/>
      <c r="Z12" s="85"/>
      <c r="AA12" s="85"/>
      <c r="AB12" s="85"/>
      <c r="AC12" s="85"/>
      <c r="AD12" s="85"/>
    </row>
    <row r="13" spans="2:30" x14ac:dyDescent="0.2">
      <c r="B13" s="85"/>
      <c r="C13" s="87"/>
      <c r="D13" s="88" t="s">
        <v>0</v>
      </c>
      <c r="E13" s="88"/>
      <c r="F13" s="88"/>
      <c r="G13" s="88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9"/>
      <c r="U13" s="90"/>
      <c r="V13" s="90"/>
      <c r="W13" s="90"/>
      <c r="X13" s="89"/>
      <c r="Y13" s="85"/>
      <c r="Z13" s="85"/>
      <c r="AA13" s="85"/>
      <c r="AB13" s="85"/>
      <c r="AC13" s="85"/>
      <c r="AD13" s="85"/>
    </row>
    <row r="14" spans="2:30" ht="16" thickBot="1" x14ac:dyDescent="0.25">
      <c r="B14" s="85"/>
      <c r="C14" s="88" t="s">
        <v>1</v>
      </c>
      <c r="D14" s="88"/>
      <c r="E14" s="88"/>
      <c r="F14" s="88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9"/>
      <c r="U14" s="90"/>
      <c r="V14" s="90"/>
      <c r="W14" s="90"/>
      <c r="X14" s="89"/>
      <c r="Y14" s="85"/>
      <c r="Z14" s="85"/>
      <c r="AA14" s="85"/>
      <c r="AB14" s="85"/>
      <c r="AC14" s="85"/>
      <c r="AD14" s="85"/>
    </row>
    <row r="15" spans="2:30" x14ac:dyDescent="0.2">
      <c r="C15" s="102" t="s">
        <v>2</v>
      </c>
      <c r="D15" s="60" t="s">
        <v>3</v>
      </c>
      <c r="E15" s="60" t="s">
        <v>4</v>
      </c>
      <c r="F15" s="60" t="s">
        <v>5</v>
      </c>
      <c r="G15" s="97" t="s">
        <v>6</v>
      </c>
      <c r="H15" s="98"/>
      <c r="L15" s="85"/>
      <c r="M15" s="85"/>
      <c r="N15" s="85"/>
      <c r="O15" s="85"/>
      <c r="P15" s="85"/>
      <c r="Q15" s="85"/>
      <c r="R15" s="85"/>
      <c r="S15" s="85"/>
      <c r="T15" s="89"/>
      <c r="U15" s="90"/>
      <c r="V15" s="90"/>
      <c r="W15" s="90"/>
      <c r="X15" s="89"/>
      <c r="Y15" s="85"/>
      <c r="Z15" s="85"/>
      <c r="AA15" s="85"/>
      <c r="AB15" s="85"/>
      <c r="AC15" s="85"/>
      <c r="AD15" s="85"/>
    </row>
    <row r="16" spans="2:30" x14ac:dyDescent="0.2">
      <c r="C16" s="103"/>
      <c r="D16" s="4" t="s">
        <v>7</v>
      </c>
      <c r="E16" s="4" t="s">
        <v>8</v>
      </c>
      <c r="F16" s="4" t="s">
        <v>9</v>
      </c>
      <c r="G16" s="81"/>
      <c r="H16" s="99" t="s">
        <v>10</v>
      </c>
      <c r="L16" s="85"/>
      <c r="M16" s="85"/>
      <c r="N16" s="85"/>
      <c r="O16" s="85"/>
      <c r="P16" s="85"/>
      <c r="Q16" s="85"/>
      <c r="R16" s="85"/>
      <c r="S16" s="85"/>
      <c r="T16" s="89"/>
      <c r="U16" s="90"/>
      <c r="V16" s="90"/>
      <c r="W16" s="90"/>
      <c r="X16" s="89"/>
      <c r="Y16" s="85"/>
      <c r="Z16" s="85"/>
      <c r="AA16" s="85"/>
      <c r="AB16" s="85"/>
      <c r="AC16" s="85"/>
      <c r="AD16" s="85"/>
    </row>
    <row r="17" spans="3:30" x14ac:dyDescent="0.2">
      <c r="C17" s="104" t="s">
        <v>11</v>
      </c>
      <c r="D17" s="4" t="s">
        <v>3</v>
      </c>
      <c r="E17" s="6">
        <v>1.0158237242686721E-9</v>
      </c>
      <c r="F17" s="4" t="s">
        <v>5</v>
      </c>
      <c r="G17" s="6">
        <v>2.7739167005262606E-6</v>
      </c>
      <c r="H17" s="100" t="s">
        <v>12</v>
      </c>
      <c r="L17" s="85"/>
      <c r="M17" s="85"/>
      <c r="N17" s="85"/>
      <c r="O17" s="85"/>
      <c r="P17" s="85"/>
      <c r="Q17" s="85"/>
      <c r="R17" s="85"/>
      <c r="S17" s="85"/>
      <c r="T17" s="89"/>
      <c r="U17" s="90"/>
      <c r="V17" s="90"/>
      <c r="W17" s="90"/>
      <c r="X17" s="89"/>
      <c r="Y17" s="85"/>
      <c r="Z17" s="85"/>
      <c r="AA17" s="85"/>
      <c r="AB17" s="85"/>
      <c r="AC17" s="85"/>
      <c r="AD17" s="85"/>
    </row>
    <row r="18" spans="3:30" x14ac:dyDescent="0.2">
      <c r="C18" s="104" t="s">
        <v>13</v>
      </c>
      <c r="D18" s="4" t="s">
        <v>14</v>
      </c>
      <c r="E18" s="6">
        <v>8.1843528348674406E-11</v>
      </c>
      <c r="F18" s="4" t="s">
        <v>5</v>
      </c>
      <c r="G18" s="6">
        <v>-1.1267394437898419E-6</v>
      </c>
      <c r="H18" s="100" t="s">
        <v>15</v>
      </c>
      <c r="L18" s="85"/>
      <c r="M18" s="85"/>
      <c r="N18" s="88"/>
      <c r="O18" s="88"/>
      <c r="P18" s="88"/>
      <c r="Q18" s="88"/>
      <c r="R18" s="85"/>
      <c r="S18" s="85"/>
      <c r="T18" s="89"/>
      <c r="U18" s="90"/>
      <c r="V18" s="90"/>
      <c r="W18" s="90"/>
      <c r="X18" s="89"/>
      <c r="Y18" s="85"/>
      <c r="Z18" s="85"/>
      <c r="AA18" s="85"/>
      <c r="AB18" s="85"/>
      <c r="AC18" s="85"/>
      <c r="AD18" s="85"/>
    </row>
    <row r="19" spans="3:30" x14ac:dyDescent="0.2">
      <c r="C19" s="104" t="s">
        <v>16</v>
      </c>
      <c r="D19" s="4" t="s">
        <v>14</v>
      </c>
      <c r="E19" s="7">
        <v>7.9346401622443756E-11</v>
      </c>
      <c r="F19" s="8" t="s">
        <v>5</v>
      </c>
      <c r="G19" s="7">
        <v>-6.1484332472280538E-6</v>
      </c>
      <c r="H19" s="100" t="s">
        <v>17</v>
      </c>
      <c r="L19" s="85"/>
      <c r="M19" s="85"/>
      <c r="N19" s="88"/>
      <c r="O19" s="87"/>
      <c r="P19" s="87"/>
      <c r="Q19" s="87"/>
      <c r="R19" s="91"/>
      <c r="S19" s="85"/>
      <c r="T19" s="89"/>
      <c r="U19" s="90"/>
      <c r="V19" s="90"/>
      <c r="W19" s="90"/>
      <c r="X19" s="89"/>
      <c r="Y19" s="85"/>
      <c r="Z19" s="85"/>
      <c r="AA19" s="85"/>
      <c r="AB19" s="85"/>
      <c r="AC19" s="85"/>
      <c r="AD19" s="85"/>
    </row>
    <row r="20" spans="3:30" ht="16" thickBot="1" x14ac:dyDescent="0.25">
      <c r="C20" s="105" t="s">
        <v>18</v>
      </c>
      <c r="D20" s="72" t="s">
        <v>14</v>
      </c>
      <c r="E20" s="50">
        <v>5.1603309058217132E-11</v>
      </c>
      <c r="F20" s="72" t="s">
        <v>5</v>
      </c>
      <c r="G20" s="50">
        <v>-2.356154467920201E-7</v>
      </c>
      <c r="H20" s="101" t="s">
        <v>19</v>
      </c>
      <c r="L20" s="85"/>
      <c r="M20" s="85"/>
      <c r="N20" s="88"/>
      <c r="O20" s="87"/>
      <c r="P20" s="87"/>
      <c r="Q20" s="87"/>
      <c r="R20" s="91"/>
      <c r="S20" s="85"/>
      <c r="T20" s="89"/>
      <c r="U20" s="90"/>
      <c r="V20" s="90"/>
      <c r="W20" s="90"/>
      <c r="X20" s="89"/>
      <c r="Y20" s="85"/>
      <c r="Z20" s="85"/>
      <c r="AA20" s="85"/>
      <c r="AB20" s="85"/>
      <c r="AC20" s="85"/>
      <c r="AD20" s="85"/>
    </row>
    <row r="21" spans="3:30" x14ac:dyDescent="0.2">
      <c r="C21" s="3"/>
      <c r="H21" s="10"/>
      <c r="I21" s="10"/>
      <c r="J21" s="10"/>
      <c r="L21" s="92"/>
      <c r="M21" s="92"/>
      <c r="N21" s="92"/>
      <c r="O21" s="87"/>
      <c r="P21" s="93"/>
      <c r="Q21" s="87"/>
      <c r="R21" s="87"/>
      <c r="S21" s="85"/>
      <c r="T21" s="89"/>
      <c r="U21" s="90"/>
      <c r="V21" s="90"/>
      <c r="W21" s="90"/>
      <c r="X21" s="89"/>
      <c r="Y21" s="85"/>
      <c r="Z21" s="85"/>
      <c r="AA21" s="85"/>
      <c r="AB21" s="85"/>
      <c r="AC21" s="85"/>
      <c r="AD21" s="85"/>
    </row>
    <row r="22" spans="3:30" ht="16" x14ac:dyDescent="0.2">
      <c r="C22" s="12" t="s">
        <v>20</v>
      </c>
      <c r="D22" s="13" t="s">
        <v>21</v>
      </c>
      <c r="E22" s="13" t="s">
        <v>9</v>
      </c>
      <c r="F22" s="13" t="s">
        <v>22</v>
      </c>
      <c r="G22" s="13" t="s">
        <v>23</v>
      </c>
      <c r="H22" s="13" t="s">
        <v>24</v>
      </c>
      <c r="I22" s="9" t="s">
        <v>25</v>
      </c>
      <c r="J22" s="9"/>
      <c r="K22" s="9"/>
      <c r="L22" s="94"/>
      <c r="M22" s="95"/>
      <c r="N22" s="85"/>
      <c r="O22" s="85"/>
      <c r="P22" s="87"/>
      <c r="Q22" s="93"/>
      <c r="R22" s="87"/>
      <c r="S22" s="87"/>
      <c r="T22" s="89"/>
      <c r="U22" s="90"/>
      <c r="V22" s="90"/>
      <c r="W22" s="90"/>
      <c r="X22" s="89"/>
      <c r="Y22" s="85"/>
      <c r="Z22" s="85"/>
      <c r="AA22" s="85"/>
      <c r="AB22" s="85"/>
      <c r="AC22" s="85"/>
      <c r="AD22" s="85"/>
    </row>
    <row r="23" spans="3:30" ht="16" x14ac:dyDescent="0.2">
      <c r="C23" s="14" t="s">
        <v>26</v>
      </c>
      <c r="D23">
        <v>1000</v>
      </c>
      <c r="E23" s="15">
        <f>AVERAGE(261037.234, 260720.363)</f>
        <v>260878.7985</v>
      </c>
      <c r="F23" s="16">
        <f>E18*E23</f>
        <v>2.135124134060287E-5</v>
      </c>
      <c r="G23" s="16">
        <f>F23/F25</f>
        <v>0.53117720455252293</v>
      </c>
      <c r="H23" s="17">
        <f>G23*$D$11*60/1000</f>
        <v>63.741264546302745</v>
      </c>
      <c r="I23" s="18">
        <f>G23/G24</f>
        <v>1.133002084605401</v>
      </c>
      <c r="J23" s="9"/>
      <c r="K23" s="19"/>
      <c r="L23" s="96"/>
      <c r="M23" s="95"/>
      <c r="N23" s="85"/>
      <c r="O23" s="85"/>
      <c r="P23" s="87"/>
      <c r="Q23" s="93"/>
      <c r="R23" s="87"/>
      <c r="S23" s="87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</row>
    <row r="24" spans="3:30" ht="16" x14ac:dyDescent="0.2">
      <c r="C24" s="14" t="s">
        <v>27</v>
      </c>
      <c r="D24">
        <v>1000</v>
      </c>
      <c r="E24" s="15">
        <f>AVERAGE(365297.095,365076.165)</f>
        <v>365186.63</v>
      </c>
      <c r="F24" s="16">
        <f>E20*E24</f>
        <v>1.8844838531818787E-5</v>
      </c>
      <c r="G24" s="16">
        <f>F24/F25</f>
        <v>0.46882279544747701</v>
      </c>
      <c r="H24" s="17">
        <f>G24*$D$11*60/1000</f>
        <v>56.258735453697241</v>
      </c>
      <c r="I24" s="11"/>
      <c r="J24" s="9"/>
      <c r="K24" s="9"/>
      <c r="L24" s="96"/>
      <c r="M24" s="96"/>
      <c r="N24" s="85"/>
      <c r="O24" s="85"/>
      <c r="P24" s="87"/>
      <c r="Q24" s="93"/>
      <c r="R24" s="87"/>
      <c r="S24" s="87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</row>
    <row r="25" spans="3:30" x14ac:dyDescent="0.2">
      <c r="C25" s="20" t="s">
        <v>28</v>
      </c>
      <c r="D25" s="4">
        <f>SUM(D23:D24)</f>
        <v>2000</v>
      </c>
      <c r="E25" s="82">
        <f>SUM(E23:E24)</f>
        <v>626065.42850000004</v>
      </c>
      <c r="F25" s="6">
        <f>SUM(F23:F24)</f>
        <v>4.0196079872421657E-5</v>
      </c>
      <c r="G25" s="6">
        <f>SUM(G23:G24)</f>
        <v>1</v>
      </c>
      <c r="H25" s="17">
        <f>SUM(H23:H24)</f>
        <v>119.99999999999999</v>
      </c>
      <c r="I25" s="9"/>
      <c r="J25" s="9"/>
      <c r="K25" s="9"/>
      <c r="L25" s="87"/>
      <c r="M25" s="87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</row>
    <row r="26" spans="3:30" x14ac:dyDescent="0.2">
      <c r="C26" s="21" t="s">
        <v>29</v>
      </c>
      <c r="D26" s="22" t="s">
        <v>30</v>
      </c>
      <c r="E26" s="5"/>
      <c r="F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3"/>
      <c r="S26" s="23"/>
      <c r="T26" s="23"/>
      <c r="U26" s="23"/>
      <c r="V26" s="23"/>
      <c r="W26" s="23"/>
      <c r="X26" s="23"/>
      <c r="Y26" s="23"/>
      <c r="Z26" s="85"/>
      <c r="AA26" s="85"/>
      <c r="AB26" s="85"/>
      <c r="AC26" s="85"/>
    </row>
    <row r="27" spans="3:30" ht="17" x14ac:dyDescent="0.25">
      <c r="C27" s="77" t="s">
        <v>82</v>
      </c>
      <c r="D27" s="24" t="s">
        <v>31</v>
      </c>
      <c r="E27" s="25"/>
      <c r="F27" s="26"/>
      <c r="G27" s="27"/>
      <c r="H27" s="27" t="s">
        <v>32</v>
      </c>
      <c r="I27" s="27" t="s">
        <v>33</v>
      </c>
      <c r="J27" s="27" t="s">
        <v>34</v>
      </c>
      <c r="K27" s="27" t="s">
        <v>35</v>
      </c>
      <c r="L27" s="5">
        <v>14030.751</v>
      </c>
      <c r="M27" s="27" t="s">
        <v>36</v>
      </c>
      <c r="N27" s="27" t="s">
        <v>37</v>
      </c>
      <c r="O27" s="27" t="s">
        <v>38</v>
      </c>
      <c r="P27" s="27" t="s">
        <v>39</v>
      </c>
      <c r="Q27" s="5">
        <v>13564.866</v>
      </c>
      <c r="Y27" s="9"/>
      <c r="Z27" s="85"/>
      <c r="AA27" s="85"/>
      <c r="AB27" s="85"/>
      <c r="AC27" s="85"/>
    </row>
    <row r="28" spans="3:30" x14ac:dyDescent="0.2">
      <c r="C28" s="78"/>
      <c r="D28" s="24" t="s">
        <v>40</v>
      </c>
      <c r="E28" s="25"/>
      <c r="F28" s="26"/>
      <c r="G28" s="27"/>
      <c r="H28" s="27" t="s">
        <v>41</v>
      </c>
      <c r="I28" s="27" t="s">
        <v>42</v>
      </c>
      <c r="J28" s="27" t="s">
        <v>43</v>
      </c>
      <c r="K28" s="27" t="s">
        <v>44</v>
      </c>
      <c r="L28" s="5">
        <v>284396.21100000001</v>
      </c>
      <c r="M28" s="27" t="s">
        <v>45</v>
      </c>
      <c r="N28" s="27" t="s">
        <v>46</v>
      </c>
      <c r="O28" s="27" t="s">
        <v>47</v>
      </c>
      <c r="P28" s="27" t="s">
        <v>48</v>
      </c>
      <c r="Q28" s="5">
        <v>281442.01</v>
      </c>
      <c r="Y28" s="9"/>
      <c r="Z28" s="85"/>
      <c r="AA28" s="85"/>
      <c r="AB28" s="85"/>
      <c r="AC28" s="85"/>
    </row>
    <row r="29" spans="3:30" ht="17" x14ac:dyDescent="0.25">
      <c r="C29" s="78"/>
      <c r="D29" s="24" t="s">
        <v>49</v>
      </c>
      <c r="E29" s="25"/>
      <c r="F29" s="26"/>
      <c r="G29" s="27"/>
      <c r="H29" s="27" t="s">
        <v>50</v>
      </c>
      <c r="I29" s="27" t="s">
        <v>51</v>
      </c>
      <c r="J29" s="27" t="s">
        <v>52</v>
      </c>
      <c r="K29" s="27" t="s">
        <v>53</v>
      </c>
      <c r="L29" s="5">
        <v>23303.879000000001</v>
      </c>
      <c r="M29" s="27" t="s">
        <v>54</v>
      </c>
      <c r="N29" s="27" t="s">
        <v>55</v>
      </c>
      <c r="O29" s="27" t="s">
        <v>56</v>
      </c>
      <c r="P29" s="27" t="s">
        <v>57</v>
      </c>
      <c r="Q29" s="5">
        <v>22329.066999999999</v>
      </c>
      <c r="Y29" s="9"/>
      <c r="Z29" s="85"/>
      <c r="AA29" s="85"/>
      <c r="AB29" s="85"/>
      <c r="AC29" s="85"/>
    </row>
    <row r="30" spans="3:30" ht="17" x14ac:dyDescent="0.25">
      <c r="C30" s="78"/>
      <c r="D30" s="24" t="s">
        <v>58</v>
      </c>
      <c r="E30" s="25"/>
      <c r="F30" s="26"/>
      <c r="G30" s="27"/>
      <c r="H30" s="27" t="s">
        <v>59</v>
      </c>
      <c r="I30" s="27" t="s">
        <v>60</v>
      </c>
      <c r="J30" s="27" t="s">
        <v>61</v>
      </c>
      <c r="K30" s="27" t="s">
        <v>62</v>
      </c>
      <c r="L30" s="5">
        <v>24110.573</v>
      </c>
      <c r="M30" s="27" t="s">
        <v>63</v>
      </c>
      <c r="N30" s="27" t="s">
        <v>64</v>
      </c>
      <c r="O30" s="27" t="s">
        <v>65</v>
      </c>
      <c r="P30" s="27" t="s">
        <v>66</v>
      </c>
      <c r="Q30" s="5">
        <v>21302.530999999999</v>
      </c>
      <c r="Y30" s="9"/>
      <c r="Z30" s="85"/>
      <c r="AA30" s="85"/>
      <c r="AB30" s="85"/>
      <c r="AC30" s="85"/>
    </row>
    <row r="31" spans="3:30" ht="16" thickBot="1" x14ac:dyDescent="0.25">
      <c r="C31" s="78"/>
      <c r="D31" s="28"/>
      <c r="E31" s="29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5"/>
      <c r="R31" s="5"/>
      <c r="S31" s="5"/>
      <c r="T31" s="5"/>
      <c r="U31" s="5"/>
      <c r="V31" s="5"/>
      <c r="W31" s="5"/>
      <c r="X31" s="5"/>
      <c r="Y31" s="5"/>
      <c r="Z31" s="85"/>
      <c r="AA31" s="85"/>
      <c r="AB31" s="85"/>
      <c r="AC31" s="85"/>
    </row>
    <row r="32" spans="3:30" ht="17" x14ac:dyDescent="0.25">
      <c r="C32" s="32" t="s">
        <v>7</v>
      </c>
      <c r="D32" s="33" t="s">
        <v>67</v>
      </c>
      <c r="E32" s="34"/>
      <c r="F32" s="35"/>
      <c r="G32" s="36"/>
      <c r="H32" s="36">
        <f>H27*$E$17+$G$17</f>
        <v>1.703004982798371E-5</v>
      </c>
      <c r="I32" s="36">
        <f t="shared" ref="I32:Q32" si="0">I27*$E$17+$G$17</f>
        <v>1.7050954464405435E-5</v>
      </c>
      <c r="J32" s="36">
        <f t="shared" si="0"/>
        <v>1.6973361785050894E-5</v>
      </c>
      <c r="K32" s="36">
        <f t="shared" si="0"/>
        <v>1.690852988332062E-5</v>
      </c>
      <c r="L32" s="36">
        <f t="shared" si="0"/>
        <v>1.7026686435632656E-5</v>
      </c>
      <c r="M32" s="36">
        <f t="shared" si="0"/>
        <v>1.6741895175415315E-5</v>
      </c>
      <c r="N32" s="36">
        <f t="shared" si="0"/>
        <v>1.6693573456675576E-5</v>
      </c>
      <c r="O32" s="36">
        <f t="shared" si="0"/>
        <v>1.6682272417743088E-5</v>
      </c>
      <c r="P32" s="36">
        <f t="shared" si="0"/>
        <v>1.668075985621765E-5</v>
      </c>
      <c r="Q32" s="36">
        <f t="shared" si="0"/>
        <v>1.6553429399851744E-5</v>
      </c>
      <c r="R32" s="23"/>
      <c r="S32" s="23"/>
      <c r="T32" s="23"/>
      <c r="U32" s="23"/>
      <c r="V32" s="23"/>
      <c r="W32" s="23"/>
      <c r="X32" s="23"/>
      <c r="Y32" s="5"/>
      <c r="Z32" s="85"/>
      <c r="AA32" s="85"/>
      <c r="AB32" s="85"/>
      <c r="AC32" s="85"/>
    </row>
    <row r="33" spans="3:29" ht="17" x14ac:dyDescent="0.25">
      <c r="C33" s="38"/>
      <c r="D33" s="39" t="s">
        <v>68</v>
      </c>
      <c r="E33" s="40"/>
      <c r="F33" s="6"/>
      <c r="G33" s="6"/>
      <c r="H33" s="6">
        <f>H29*$E$18+$G$18</f>
        <v>6.9507728190014825E-7</v>
      </c>
      <c r="I33" s="6">
        <f t="shared" ref="I33:Q33" si="1">I29*$E$18+$G$18</f>
        <v>6.7040497737474169E-7</v>
      </c>
      <c r="J33" s="6">
        <f t="shared" si="1"/>
        <v>7.081247771894938E-7</v>
      </c>
      <c r="K33" s="6">
        <f t="shared" si="1"/>
        <v>7.5808476772996019E-7</v>
      </c>
      <c r="L33" s="6">
        <f t="shared" si="1"/>
        <v>7.8053223778073624E-7</v>
      </c>
      <c r="M33" s="6">
        <f t="shared" si="1"/>
        <v>7.5955156744502504E-7</v>
      </c>
      <c r="N33" s="6">
        <f t="shared" si="1"/>
        <v>7.5132604731539849E-7</v>
      </c>
      <c r="O33" s="6">
        <f t="shared" si="1"/>
        <v>7.3024078095045792E-7</v>
      </c>
      <c r="P33" s="6">
        <f t="shared" si="1"/>
        <v>7.2767981510489929E-7</v>
      </c>
      <c r="Q33" s="6">
        <f t="shared" si="1"/>
        <v>7.0075018422410825E-7</v>
      </c>
      <c r="R33" s="23"/>
      <c r="S33" s="23"/>
      <c r="T33" s="23"/>
      <c r="U33" s="23"/>
      <c r="V33" s="23"/>
      <c r="W33" s="23"/>
      <c r="X33" s="23"/>
      <c r="Y33" s="11"/>
      <c r="Z33" s="85"/>
      <c r="AA33" s="85"/>
      <c r="AB33" s="85"/>
      <c r="AC33" s="85"/>
    </row>
    <row r="34" spans="3:29" x14ac:dyDescent="0.2">
      <c r="C34" s="38"/>
      <c r="D34" s="39" t="s">
        <v>16</v>
      </c>
      <c r="E34" s="40"/>
      <c r="F34" s="4"/>
      <c r="G34" s="42"/>
      <c r="H34" s="42">
        <f>H28*$E$19+$G$19</f>
        <v>1.5999762782339876E-5</v>
      </c>
      <c r="I34" s="42">
        <f t="shared" ref="I34:Q34" si="2">I28*$E$19+$G$19</f>
        <v>1.5899679516039013E-5</v>
      </c>
      <c r="J34" s="42">
        <f t="shared" si="2"/>
        <v>1.5916818656175068E-5</v>
      </c>
      <c r="K34" s="42">
        <f t="shared" si="2"/>
        <v>1.6029834433783567E-5</v>
      </c>
      <c r="L34" s="42">
        <f t="shared" si="2"/>
        <v>1.6417382730679203E-5</v>
      </c>
      <c r="M34" s="42">
        <f t="shared" si="2"/>
        <v>1.6341776083658027E-5</v>
      </c>
      <c r="N34" s="42">
        <f t="shared" si="2"/>
        <v>1.6258635892534811E-5</v>
      </c>
      <c r="O34" s="42">
        <f t="shared" si="2"/>
        <v>1.6216559368564846E-5</v>
      </c>
      <c r="P34" s="42">
        <f t="shared" si="2"/>
        <v>1.6225880349056238E-5</v>
      </c>
      <c r="Q34" s="42">
        <f t="shared" si="2"/>
        <v>1.6182977511659777E-5</v>
      </c>
      <c r="R34" s="23"/>
      <c r="S34" s="23"/>
      <c r="T34" s="23"/>
      <c r="U34" s="23"/>
      <c r="V34" s="23"/>
      <c r="W34" s="23"/>
      <c r="X34" s="23"/>
      <c r="Y34" s="5"/>
      <c r="Z34" s="85"/>
      <c r="AA34" s="85"/>
      <c r="AB34" s="85"/>
      <c r="AC34" s="85"/>
    </row>
    <row r="35" spans="3:29" ht="18" thickBot="1" x14ac:dyDescent="0.3">
      <c r="C35" s="43"/>
      <c r="D35" s="44" t="s">
        <v>69</v>
      </c>
      <c r="E35" s="45"/>
      <c r="F35" s="46"/>
      <c r="G35" s="46"/>
      <c r="H35" s="46">
        <f>H30*$E$20+$G$20</f>
        <v>1.0915871911748736E-6</v>
      </c>
      <c r="I35" s="46">
        <f t="shared" ref="I35:Q35" si="3">I30*$E$20+$G$20</f>
        <v>1.1383678613817461E-6</v>
      </c>
      <c r="J35" s="46">
        <f t="shared" si="3"/>
        <v>1.1028445046492327E-6</v>
      </c>
      <c r="K35" s="46">
        <f t="shared" si="3"/>
        <v>1.0535782062516443E-6</v>
      </c>
      <c r="L35" s="46">
        <f t="shared" si="3"/>
        <v>1.0085699032976852E-6</v>
      </c>
      <c r="M35" s="46">
        <f t="shared" si="3"/>
        <v>9.6280241246086192E-7</v>
      </c>
      <c r="N35" s="46">
        <f t="shared" si="3"/>
        <v>9.3231450662624942E-7</v>
      </c>
      <c r="O35" s="46">
        <f t="shared" si="3"/>
        <v>9.0071305298546971E-7</v>
      </c>
      <c r="P35" s="46">
        <f t="shared" si="3"/>
        <v>8.9511951230010437E-7</v>
      </c>
      <c r="Q35" s="46">
        <f t="shared" si="3"/>
        <v>8.636656441232312E-7</v>
      </c>
      <c r="R35" s="23"/>
      <c r="S35" s="23"/>
      <c r="T35" s="23"/>
      <c r="U35" s="23"/>
      <c r="V35" s="23"/>
      <c r="W35" s="23"/>
      <c r="X35" s="23"/>
      <c r="Y35" s="11"/>
      <c r="Z35" s="85"/>
      <c r="AA35" s="85"/>
      <c r="AB35" s="85"/>
      <c r="AC35" s="85"/>
    </row>
    <row r="36" spans="3:29" ht="17" x14ac:dyDescent="0.25">
      <c r="C36" s="32" t="s">
        <v>70</v>
      </c>
      <c r="D36" s="33" t="s">
        <v>67</v>
      </c>
      <c r="E36" s="34"/>
      <c r="F36" s="36"/>
      <c r="G36" s="36"/>
      <c r="H36" s="36">
        <f t="shared" ref="H36:Q39" si="4">H32/(SUM(H$32:H$35))</f>
        <v>0.48913765132498366</v>
      </c>
      <c r="I36" s="36">
        <f t="shared" si="4"/>
        <v>0.49054215893542147</v>
      </c>
      <c r="J36" s="36">
        <f t="shared" si="4"/>
        <v>0.48912966632253313</v>
      </c>
      <c r="K36" s="36">
        <f t="shared" si="4"/>
        <v>0.48657601738511613</v>
      </c>
      <c r="L36" s="36">
        <f t="shared" si="4"/>
        <v>0.48325727727101442</v>
      </c>
      <c r="M36" s="36">
        <f t="shared" si="4"/>
        <v>0.48100566095855402</v>
      </c>
      <c r="N36" s="36">
        <f t="shared" si="4"/>
        <v>0.48197383645424496</v>
      </c>
      <c r="O36" s="36">
        <f t="shared" si="4"/>
        <v>0.4831270197044818</v>
      </c>
      <c r="P36" s="36">
        <f t="shared" si="4"/>
        <v>0.48308805708910696</v>
      </c>
      <c r="Q36" s="37">
        <f t="shared" si="4"/>
        <v>0.48259569531013113</v>
      </c>
      <c r="R36" s="23"/>
      <c r="S36" s="23"/>
      <c r="T36" s="23"/>
      <c r="U36" s="23"/>
      <c r="V36" s="23"/>
      <c r="W36" s="23"/>
      <c r="X36" s="23"/>
      <c r="Y36" s="11"/>
    </row>
    <row r="37" spans="3:29" ht="17" x14ac:dyDescent="0.25">
      <c r="C37" s="38"/>
      <c r="D37" s="39" t="s">
        <v>68</v>
      </c>
      <c r="E37" s="40"/>
      <c r="F37" s="6"/>
      <c r="G37" s="6"/>
      <c r="H37" s="6">
        <f t="shared" si="4"/>
        <v>1.9964032553758261E-2</v>
      </c>
      <c r="I37" s="6">
        <f t="shared" si="4"/>
        <v>1.9287008574738196E-2</v>
      </c>
      <c r="J37" s="6">
        <f t="shared" si="4"/>
        <v>2.0406377968474831E-2</v>
      </c>
      <c r="K37" s="6">
        <f t="shared" si="4"/>
        <v>2.181537186661223E-2</v>
      </c>
      <c r="L37" s="6">
        <f t="shared" si="4"/>
        <v>2.2153334735923041E-2</v>
      </c>
      <c r="M37" s="6">
        <f t="shared" si="4"/>
        <v>2.182241615438479E-2</v>
      </c>
      <c r="N37" s="6">
        <f t="shared" si="4"/>
        <v>2.1692149879856827E-2</v>
      </c>
      <c r="O37" s="6">
        <f t="shared" si="4"/>
        <v>2.1148141172424133E-2</v>
      </c>
      <c r="P37" s="6">
        <f t="shared" si="4"/>
        <v>2.1074185534237188E-2</v>
      </c>
      <c r="Q37" s="41">
        <f t="shared" si="4"/>
        <v>2.0429544490482728E-2</v>
      </c>
      <c r="R37" s="23"/>
      <c r="S37" s="23"/>
      <c r="T37" s="23"/>
      <c r="U37" s="23"/>
      <c r="V37" s="23"/>
      <c r="W37" s="23"/>
      <c r="X37" s="23"/>
      <c r="Y37" s="11"/>
    </row>
    <row r="38" spans="3:29" x14ac:dyDescent="0.2">
      <c r="C38" s="38"/>
      <c r="D38" s="39" t="s">
        <v>16</v>
      </c>
      <c r="E38" s="40"/>
      <c r="F38" s="6"/>
      <c r="G38" s="6"/>
      <c r="H38" s="6">
        <f t="shared" si="4"/>
        <v>0.45954571291099916</v>
      </c>
      <c r="I38" s="6">
        <f t="shared" si="4"/>
        <v>0.4574209105103631</v>
      </c>
      <c r="J38" s="6">
        <f t="shared" si="4"/>
        <v>0.45868274634127448</v>
      </c>
      <c r="K38" s="6">
        <f t="shared" si="4"/>
        <v>0.46128983725706602</v>
      </c>
      <c r="L38" s="6">
        <f t="shared" si="4"/>
        <v>0.46596380971347867</v>
      </c>
      <c r="M38" s="6">
        <f t="shared" si="4"/>
        <v>0.46950997625999796</v>
      </c>
      <c r="N38" s="6">
        <f t="shared" si="4"/>
        <v>0.46941639769189536</v>
      </c>
      <c r="O38" s="6">
        <f t="shared" si="4"/>
        <v>0.46963973500772399</v>
      </c>
      <c r="P38" s="6">
        <f t="shared" si="4"/>
        <v>0.46991438519295847</v>
      </c>
      <c r="Q38" s="41">
        <f t="shared" si="4"/>
        <v>0.47179560777282881</v>
      </c>
      <c r="R38" s="23"/>
      <c r="S38" s="23"/>
      <c r="T38" s="23"/>
      <c r="U38" s="23"/>
      <c r="V38" s="23"/>
      <c r="W38" s="23"/>
      <c r="X38" s="23"/>
      <c r="Y38" s="11"/>
    </row>
    <row r="39" spans="3:29" ht="17" x14ac:dyDescent="0.25">
      <c r="C39" s="38"/>
      <c r="D39" s="39" t="s">
        <v>69</v>
      </c>
      <c r="E39" s="40"/>
      <c r="F39" s="6"/>
      <c r="G39" s="6"/>
      <c r="H39" s="6">
        <f t="shared" si="4"/>
        <v>3.1352603210259046E-2</v>
      </c>
      <c r="I39" s="6">
        <f t="shared" si="4"/>
        <v>3.2749921979477424E-2</v>
      </c>
      <c r="J39" s="6">
        <f t="shared" si="4"/>
        <v>3.1781209367717549E-2</v>
      </c>
      <c r="K39" s="6">
        <f t="shared" si="4"/>
        <v>3.0318773491205635E-2</v>
      </c>
      <c r="L39" s="6">
        <f t="shared" si="4"/>
        <v>2.8625578279583765E-2</v>
      </c>
      <c r="M39" s="6">
        <f t="shared" si="4"/>
        <v>2.7661946627063311E-2</v>
      </c>
      <c r="N39" s="6">
        <f t="shared" si="4"/>
        <v>2.6917615974002825E-2</v>
      </c>
      <c r="O39" s="6">
        <f t="shared" si="4"/>
        <v>2.6085104115370079E-2</v>
      </c>
      <c r="P39" s="6">
        <f t="shared" si="4"/>
        <v>2.5923372183697252E-2</v>
      </c>
      <c r="Q39" s="41">
        <f t="shared" si="4"/>
        <v>2.5179152426557362E-2</v>
      </c>
      <c r="R39" s="23"/>
      <c r="S39" s="23"/>
      <c r="T39" s="23"/>
      <c r="U39" s="23"/>
      <c r="V39" s="23"/>
      <c r="W39" s="23"/>
      <c r="X39" s="23"/>
      <c r="Y39" s="11"/>
    </row>
    <row r="40" spans="3:29" ht="16" thickBot="1" x14ac:dyDescent="0.25">
      <c r="C40" s="47" t="s">
        <v>71</v>
      </c>
      <c r="D40" s="48"/>
      <c r="E40" s="49"/>
      <c r="F40" s="50"/>
      <c r="G40" s="51"/>
      <c r="H40" s="51">
        <f t="shared" ref="H40:Q40" si="5">SUM(H36:H39)</f>
        <v>1.0000000000000002</v>
      </c>
      <c r="I40" s="51">
        <f t="shared" si="5"/>
        <v>1</v>
      </c>
      <c r="J40" s="51">
        <f t="shared" si="5"/>
        <v>1</v>
      </c>
      <c r="K40" s="51">
        <f t="shared" si="5"/>
        <v>1</v>
      </c>
      <c r="L40" s="51">
        <f t="shared" si="5"/>
        <v>0.99999999999999989</v>
      </c>
      <c r="M40" s="51">
        <f t="shared" si="5"/>
        <v>1</v>
      </c>
      <c r="N40" s="51">
        <f t="shared" si="5"/>
        <v>0.99999999999999989</v>
      </c>
      <c r="O40" s="51">
        <f t="shared" si="5"/>
        <v>1</v>
      </c>
      <c r="P40" s="51">
        <f t="shared" si="5"/>
        <v>0.99999999999999989</v>
      </c>
      <c r="Q40" s="52">
        <f t="shared" si="5"/>
        <v>1</v>
      </c>
      <c r="R40" s="23"/>
      <c r="S40" s="23"/>
      <c r="T40" s="23"/>
      <c r="U40" s="23"/>
      <c r="V40" s="23"/>
      <c r="W40" s="23"/>
      <c r="X40" s="23"/>
      <c r="Y40" s="11"/>
    </row>
    <row r="41" spans="3:29" ht="17" x14ac:dyDescent="0.25">
      <c r="C41" s="79" t="s">
        <v>72</v>
      </c>
      <c r="D41" s="53" t="s">
        <v>67</v>
      </c>
      <c r="E41" s="54"/>
      <c r="F41" s="55"/>
      <c r="G41" s="56"/>
      <c r="H41" s="56">
        <f t="shared" ref="H41:Q44" si="6">H36*$D$12*60/1000</f>
        <v>100.63518038360213</v>
      </c>
      <c r="I41" s="56">
        <f t="shared" si="6"/>
        <v>100.92414377937361</v>
      </c>
      <c r="J41" s="56">
        <f t="shared" si="6"/>
        <v>100.63353754919797</v>
      </c>
      <c r="K41" s="56">
        <f t="shared" si="6"/>
        <v>100.10814981681379</v>
      </c>
      <c r="L41" s="56">
        <f t="shared" si="6"/>
        <v>99.425352225738507</v>
      </c>
      <c r="M41" s="56">
        <f t="shared" si="6"/>
        <v>98.9621046856129</v>
      </c>
      <c r="N41" s="56">
        <f t="shared" si="6"/>
        <v>99.161297112096364</v>
      </c>
      <c r="O41" s="56">
        <f t="shared" si="6"/>
        <v>99.398553034000088</v>
      </c>
      <c r="P41" s="56">
        <f t="shared" si="6"/>
        <v>99.390536865512871</v>
      </c>
      <c r="Q41" s="56">
        <f t="shared" si="6"/>
        <v>99.289238353106384</v>
      </c>
      <c r="R41" s="23"/>
      <c r="S41" s="23"/>
      <c r="T41" s="23"/>
      <c r="U41" s="23"/>
      <c r="V41" s="23"/>
      <c r="W41" s="23"/>
      <c r="X41" s="23"/>
      <c r="Y41" s="11"/>
    </row>
    <row r="42" spans="3:29" ht="17" x14ac:dyDescent="0.25">
      <c r="C42" s="80"/>
      <c r="D42" s="39" t="s">
        <v>68</v>
      </c>
      <c r="E42" s="40"/>
      <c r="F42" s="6"/>
      <c r="G42" s="17"/>
      <c r="H42" s="17">
        <f t="shared" si="6"/>
        <v>4.1074000576102243</v>
      </c>
      <c r="I42" s="17">
        <f t="shared" si="6"/>
        <v>3.9681091441666365</v>
      </c>
      <c r="J42" s="17">
        <f t="shared" si="6"/>
        <v>4.1984082032340124</v>
      </c>
      <c r="K42" s="17">
        <f t="shared" si="6"/>
        <v>4.4882946078368002</v>
      </c>
      <c r="L42" s="17">
        <f t="shared" si="6"/>
        <v>4.5578270885688061</v>
      </c>
      <c r="M42" s="17">
        <f t="shared" si="6"/>
        <v>4.4897438996031269</v>
      </c>
      <c r="N42" s="17">
        <f t="shared" si="6"/>
        <v>4.4629429162817429</v>
      </c>
      <c r="O42" s="17">
        <f t="shared" si="6"/>
        <v>4.3510185648145416</v>
      </c>
      <c r="P42" s="17">
        <f t="shared" si="6"/>
        <v>4.3358029318139586</v>
      </c>
      <c r="Q42" s="17">
        <f t="shared" si="6"/>
        <v>4.2031744834719165</v>
      </c>
      <c r="R42" s="23"/>
      <c r="S42" s="23"/>
      <c r="T42" s="23"/>
      <c r="U42" s="23"/>
      <c r="V42" s="23"/>
      <c r="W42" s="23"/>
      <c r="X42" s="23"/>
      <c r="Y42" s="11"/>
    </row>
    <row r="43" spans="3:29" x14ac:dyDescent="0.2">
      <c r="C43" s="80"/>
      <c r="D43" s="44" t="s">
        <v>16</v>
      </c>
      <c r="E43" s="45"/>
      <c r="F43" s="46"/>
      <c r="G43" s="17"/>
      <c r="H43" s="17">
        <f t="shared" si="6"/>
        <v>94.546934974308954</v>
      </c>
      <c r="I43" s="17">
        <f t="shared" si="6"/>
        <v>94.109778128402098</v>
      </c>
      <c r="J43" s="17">
        <f t="shared" si="6"/>
        <v>94.369388232253812</v>
      </c>
      <c r="K43" s="17">
        <f t="shared" si="6"/>
        <v>94.90577111726877</v>
      </c>
      <c r="L43" s="17">
        <f t="shared" si="6"/>
        <v>95.86739421045111</v>
      </c>
      <c r="M43" s="17">
        <f t="shared" si="6"/>
        <v>96.596982515731966</v>
      </c>
      <c r="N43" s="17">
        <f t="shared" si="6"/>
        <v>96.577729661130547</v>
      </c>
      <c r="O43" s="17">
        <f t="shared" si="6"/>
        <v>96.62367908048914</v>
      </c>
      <c r="P43" s="17">
        <f t="shared" si="6"/>
        <v>96.680185609599263</v>
      </c>
      <c r="Q43" s="17">
        <f t="shared" si="6"/>
        <v>97.067228343181796</v>
      </c>
      <c r="R43" s="23"/>
      <c r="S43" s="23"/>
      <c r="T43" s="23"/>
      <c r="U43" s="23"/>
      <c r="V43" s="23"/>
      <c r="W43" s="23"/>
      <c r="X43" s="23"/>
      <c r="Y43" s="11"/>
    </row>
    <row r="44" spans="3:29" ht="17" x14ac:dyDescent="0.25">
      <c r="C44" s="80"/>
      <c r="D44" s="39" t="s">
        <v>69</v>
      </c>
      <c r="E44" s="40"/>
      <c r="F44" s="6"/>
      <c r="G44" s="17"/>
      <c r="H44" s="17">
        <f t="shared" si="6"/>
        <v>6.450484584478696</v>
      </c>
      <c r="I44" s="17">
        <f t="shared" si="6"/>
        <v>6.7379689480576852</v>
      </c>
      <c r="J44" s="17">
        <f t="shared" si="6"/>
        <v>6.5386660153142095</v>
      </c>
      <c r="K44" s="17">
        <f t="shared" si="6"/>
        <v>6.2377844580806476</v>
      </c>
      <c r="L44" s="17">
        <f t="shared" si="6"/>
        <v>5.8894264752415637</v>
      </c>
      <c r="M44" s="17">
        <f t="shared" si="6"/>
        <v>5.6911688990520064</v>
      </c>
      <c r="N44" s="17">
        <f t="shared" si="6"/>
        <v>5.5380303104913411</v>
      </c>
      <c r="O44" s="17">
        <f t="shared" si="6"/>
        <v>5.3667493206962407</v>
      </c>
      <c r="P44" s="17">
        <f t="shared" si="6"/>
        <v>5.3334745930738725</v>
      </c>
      <c r="Q44" s="17">
        <f t="shared" si="6"/>
        <v>5.1803588202399116</v>
      </c>
      <c r="R44" s="23"/>
      <c r="S44" s="23"/>
      <c r="T44" s="23"/>
      <c r="U44" s="23"/>
      <c r="V44" s="23"/>
      <c r="W44" s="23"/>
      <c r="X44" s="23"/>
      <c r="Y44" s="11"/>
    </row>
    <row r="45" spans="3:29" ht="16" thickBot="1" x14ac:dyDescent="0.25">
      <c r="C45" s="57" t="s">
        <v>73</v>
      </c>
      <c r="D45" s="44"/>
      <c r="E45" s="45"/>
      <c r="F45" s="46"/>
      <c r="G45" s="58"/>
      <c r="H45" s="58">
        <f t="shared" ref="H45:Q45" si="7">SUM(H41:H44)</f>
        <v>205.73999999999998</v>
      </c>
      <c r="I45" s="58">
        <f t="shared" si="7"/>
        <v>205.74000000000004</v>
      </c>
      <c r="J45" s="58">
        <f t="shared" si="7"/>
        <v>205.74</v>
      </c>
      <c r="K45" s="58">
        <f t="shared" si="7"/>
        <v>205.74000000000004</v>
      </c>
      <c r="L45" s="58">
        <f t="shared" si="7"/>
        <v>205.74</v>
      </c>
      <c r="M45" s="58">
        <f t="shared" si="7"/>
        <v>205.74</v>
      </c>
      <c r="N45" s="58">
        <f t="shared" si="7"/>
        <v>205.73999999999998</v>
      </c>
      <c r="O45" s="58">
        <f t="shared" si="7"/>
        <v>205.74</v>
      </c>
      <c r="P45" s="58">
        <f t="shared" si="7"/>
        <v>205.73999999999998</v>
      </c>
      <c r="Q45" s="58">
        <f t="shared" si="7"/>
        <v>205.74</v>
      </c>
      <c r="R45" s="23" t="s">
        <v>74</v>
      </c>
      <c r="S45" s="23"/>
      <c r="T45" s="23"/>
      <c r="U45" s="23"/>
      <c r="V45" s="23"/>
      <c r="W45" s="23"/>
      <c r="X45" s="23"/>
      <c r="Y45" s="11"/>
    </row>
    <row r="46" spans="3:29" ht="17" x14ac:dyDescent="0.25">
      <c r="C46" s="59" t="s">
        <v>75</v>
      </c>
      <c r="D46" s="60" t="s">
        <v>68</v>
      </c>
      <c r="E46" s="61"/>
      <c r="F46" s="35"/>
      <c r="G46" s="62"/>
      <c r="H46" s="62">
        <f t="shared" ref="H46:Q46" si="8">(($H$23-H42)/$H$23)*100</f>
        <v>93.556136535969515</v>
      </c>
      <c r="I46" s="62">
        <f t="shared" si="8"/>
        <v>93.774662030301997</v>
      </c>
      <c r="J46" s="62">
        <f t="shared" si="8"/>
        <v>93.413359096156285</v>
      </c>
      <c r="K46" s="62">
        <f t="shared" si="8"/>
        <v>92.958573006382039</v>
      </c>
      <c r="L46" s="62">
        <f t="shared" si="8"/>
        <v>92.849487500741503</v>
      </c>
      <c r="M46" s="62">
        <f t="shared" si="8"/>
        <v>92.956299295973793</v>
      </c>
      <c r="N46" s="62">
        <f t="shared" si="8"/>
        <v>92.998345815621875</v>
      </c>
      <c r="O46" s="62">
        <f t="shared" si="8"/>
        <v>93.173937486518042</v>
      </c>
      <c r="P46" s="62">
        <f t="shared" si="8"/>
        <v>93.197808417082214</v>
      </c>
      <c r="Q46" s="63">
        <f t="shared" si="8"/>
        <v>93.405881553512856</v>
      </c>
      <c r="R46" s="23">
        <f>AVERAGE(G46:Q46)</f>
        <v>93.228449073825999</v>
      </c>
    </row>
    <row r="47" spans="3:29" ht="17" x14ac:dyDescent="0.25">
      <c r="C47" s="64" t="s">
        <v>76</v>
      </c>
      <c r="D47" s="4" t="s">
        <v>69</v>
      </c>
      <c r="E47" s="65"/>
      <c r="F47" s="66"/>
      <c r="G47" s="17"/>
      <c r="H47" s="17">
        <f t="shared" ref="H47:Q47" si="9">($H$24-H44)/$H$24*100</f>
        <v>88.534252445493294</v>
      </c>
      <c r="I47" s="17">
        <f t="shared" si="9"/>
        <v>88.02324848982208</v>
      </c>
      <c r="J47" s="17">
        <f t="shared" si="9"/>
        <v>88.377509798996925</v>
      </c>
      <c r="K47" s="17">
        <f t="shared" si="9"/>
        <v>88.912327289662343</v>
      </c>
      <c r="L47" s="17">
        <f t="shared" si="9"/>
        <v>89.531534209316249</v>
      </c>
      <c r="M47" s="17">
        <f t="shared" si="9"/>
        <v>89.883937395400537</v>
      </c>
      <c r="N47" s="17">
        <f t="shared" si="9"/>
        <v>90.156141502595062</v>
      </c>
      <c r="O47" s="17">
        <f t="shared" si="9"/>
        <v>90.460593759500242</v>
      </c>
      <c r="P47" s="17">
        <f t="shared" si="9"/>
        <v>90.519739645652905</v>
      </c>
      <c r="Q47" s="67">
        <f t="shared" si="9"/>
        <v>90.791903197853586</v>
      </c>
      <c r="R47" s="23">
        <f t="shared" ref="R47:R49" si="10">AVERAGE(G47:Q47)</f>
        <v>89.519118773429327</v>
      </c>
    </row>
    <row r="48" spans="3:29" x14ac:dyDescent="0.2">
      <c r="C48" s="64" t="s">
        <v>77</v>
      </c>
      <c r="D48" s="4" t="s">
        <v>16</v>
      </c>
      <c r="E48" s="65"/>
      <c r="F48" s="4"/>
      <c r="G48" s="17"/>
      <c r="H48" s="17">
        <f t="shared" ref="H48:P48" si="11">H43/($H$23+$H$24)*100</f>
        <v>78.789112478590809</v>
      </c>
      <c r="I48" s="17">
        <f t="shared" si="11"/>
        <v>78.424815107001749</v>
      </c>
      <c r="J48" s="17">
        <f t="shared" si="11"/>
        <v>78.64115686021151</v>
      </c>
      <c r="K48" s="17">
        <f t="shared" si="11"/>
        <v>79.088142597723987</v>
      </c>
      <c r="L48" s="17">
        <f t="shared" si="11"/>
        <v>79.889495175375941</v>
      </c>
      <c r="M48" s="17">
        <f t="shared" si="11"/>
        <v>80.497485429776646</v>
      </c>
      <c r="N48" s="17">
        <f t="shared" si="11"/>
        <v>80.48144138427547</v>
      </c>
      <c r="O48" s="17">
        <f t="shared" si="11"/>
        <v>80.5197325670743</v>
      </c>
      <c r="P48" s="17">
        <f t="shared" si="11"/>
        <v>80.566821341332727</v>
      </c>
      <c r="Q48" s="17">
        <f>Q43/($H$23+$H$24)*100</f>
        <v>80.889356952651497</v>
      </c>
      <c r="R48" s="23">
        <f t="shared" si="10"/>
        <v>79.778755989401461</v>
      </c>
    </row>
    <row r="49" spans="3:27" ht="17" x14ac:dyDescent="0.25">
      <c r="C49" s="64" t="s">
        <v>78</v>
      </c>
      <c r="D49" s="4" t="s">
        <v>67</v>
      </c>
      <c r="E49" s="68"/>
      <c r="F49" s="69"/>
      <c r="G49" s="17"/>
      <c r="H49" s="17">
        <f t="shared" ref="H49:Q49" si="12">H41/(2*$H$23)*100</f>
        <v>78.940370182410661</v>
      </c>
      <c r="I49" s="17">
        <f t="shared" si="12"/>
        <v>79.167039199591485</v>
      </c>
      <c r="J49" s="17">
        <f t="shared" si="12"/>
        <v>78.939081508255953</v>
      </c>
      <c r="K49" s="17">
        <f t="shared" si="12"/>
        <v>78.526956226365357</v>
      </c>
      <c r="L49" s="17">
        <f t="shared" si="12"/>
        <v>77.991355312314397</v>
      </c>
      <c r="M49" s="17">
        <f t="shared" si="12"/>
        <v>77.627974115359081</v>
      </c>
      <c r="N49" s="17">
        <f t="shared" si="12"/>
        <v>77.784224879994269</v>
      </c>
      <c r="O49" s="17">
        <f t="shared" si="12"/>
        <v>77.970333457846039</v>
      </c>
      <c r="P49" s="17">
        <f t="shared" si="12"/>
        <v>77.96404540524442</v>
      </c>
      <c r="Q49" s="17">
        <f t="shared" si="12"/>
        <v>77.884584703352559</v>
      </c>
      <c r="R49" s="23">
        <f t="shared" si="10"/>
        <v>78.279596499073421</v>
      </c>
    </row>
    <row r="50" spans="3:27" ht="16" thickBot="1" x14ac:dyDescent="0.25">
      <c r="C50" s="70" t="s">
        <v>79</v>
      </c>
      <c r="D50" s="71"/>
      <c r="E50" s="71"/>
      <c r="F50" s="72"/>
      <c r="G50" s="51"/>
      <c r="H50" s="51">
        <f>H41/H43</f>
        <v>1.0643938950633094</v>
      </c>
      <c r="I50" s="51">
        <f t="shared" ref="I50:Q50" si="13">I41/I43</f>
        <v>1.0724086889427589</v>
      </c>
      <c r="J50" s="51">
        <f t="shared" si="13"/>
        <v>1.0663790391596835</v>
      </c>
      <c r="K50" s="51">
        <f t="shared" si="13"/>
        <v>1.0548162523553681</v>
      </c>
      <c r="L50" s="51">
        <f t="shared" si="13"/>
        <v>1.0371133276813267</v>
      </c>
      <c r="M50" s="51">
        <f t="shared" si="13"/>
        <v>1.0244844311725343</v>
      </c>
      <c r="N50" s="51">
        <f t="shared" si="13"/>
        <v>1.0267511719319866</v>
      </c>
      <c r="O50" s="51">
        <f t="shared" si="13"/>
        <v>1.0287183636549322</v>
      </c>
      <c r="P50" s="51">
        <f t="shared" si="13"/>
        <v>1.0280341958264145</v>
      </c>
      <c r="Q50" s="51">
        <f t="shared" si="13"/>
        <v>1.0228914541792484</v>
      </c>
      <c r="R50" s="23">
        <f>AVERAGE(G50:Q50)</f>
        <v>1.0425990819967563</v>
      </c>
    </row>
    <row r="51" spans="3:27" x14ac:dyDescent="0.2">
      <c r="C51" s="5"/>
      <c r="D51" s="5"/>
      <c r="E51" s="7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27" x14ac:dyDescent="0.2">
      <c r="C52" s="5"/>
      <c r="D52" s="5"/>
      <c r="E52" s="11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27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27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27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27" x14ac:dyDescent="0.2">
      <c r="L56" s="23"/>
      <c r="M56" s="23"/>
      <c r="N56" s="23"/>
      <c r="O56" s="23"/>
      <c r="P56" s="23"/>
      <c r="Q56" s="23"/>
      <c r="R56" s="23"/>
    </row>
    <row r="57" spans="3:27" x14ac:dyDescent="0.2">
      <c r="L57" s="23"/>
      <c r="M57" s="23"/>
      <c r="N57" s="23"/>
      <c r="O57" s="23"/>
      <c r="P57" s="23"/>
      <c r="Q57" s="23"/>
      <c r="R57" s="23"/>
    </row>
    <row r="58" spans="3:27" x14ac:dyDescent="0.2"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5"/>
      <c r="Z58" s="74"/>
      <c r="AA58" s="75"/>
    </row>
    <row r="59" spans="3:27" x14ac:dyDescent="0.2"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5"/>
      <c r="Z59" s="74"/>
      <c r="AA59" s="75"/>
    </row>
    <row r="60" spans="3:27" x14ac:dyDescent="0.2"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5"/>
      <c r="Z60" s="74"/>
      <c r="AA60" s="75"/>
    </row>
    <row r="61" spans="3:27" x14ac:dyDescent="0.2"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5"/>
      <c r="Z61" s="74"/>
      <c r="AA61" s="75"/>
    </row>
    <row r="62" spans="3:27" x14ac:dyDescent="0.2"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5"/>
      <c r="Z62" s="74"/>
      <c r="AA62" s="75"/>
    </row>
    <row r="63" spans="3:27" x14ac:dyDescent="0.2"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5"/>
      <c r="Z63" s="74"/>
      <c r="AA63" s="75"/>
    </row>
    <row r="64" spans="3:27" x14ac:dyDescent="0.2"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5"/>
      <c r="Z64" s="76"/>
      <c r="AA64" s="75"/>
    </row>
    <row r="65" spans="12:27" x14ac:dyDescent="0.2"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5"/>
      <c r="Z65" s="76"/>
      <c r="AA65" s="75"/>
    </row>
    <row r="66" spans="12:27" x14ac:dyDescent="0.2"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5"/>
      <c r="Z66" s="76"/>
      <c r="AA66" s="75"/>
    </row>
    <row r="67" spans="12:27" x14ac:dyDescent="0.2">
      <c r="S67" s="23"/>
      <c r="T67" s="23"/>
      <c r="U67" s="23"/>
      <c r="V67" s="23"/>
      <c r="W67" s="23"/>
      <c r="X67" s="23"/>
      <c r="Y67" s="5"/>
      <c r="Z67" s="76"/>
      <c r="AA67" s="75"/>
    </row>
    <row r="68" spans="12:27" x14ac:dyDescent="0.2">
      <c r="S68" s="23"/>
      <c r="T68" s="23"/>
      <c r="U68" s="23"/>
      <c r="V68" s="23"/>
      <c r="W68" s="23"/>
      <c r="X68" s="23"/>
      <c r="Y68" s="5"/>
      <c r="AA68" s="75"/>
    </row>
  </sheetData>
  <mergeCells count="12">
    <mergeCell ref="D13:G13"/>
    <mergeCell ref="C14:F14"/>
    <mergeCell ref="C15:C16"/>
    <mergeCell ref="G15:G16"/>
    <mergeCell ref="N18:Q18"/>
    <mergeCell ref="Z66:Z67"/>
    <mergeCell ref="R19:R20"/>
    <mergeCell ref="L21:N21"/>
    <mergeCell ref="C27:C31"/>
    <mergeCell ref="C41:C44"/>
    <mergeCell ref="Z64:Z65"/>
    <mergeCell ref="N19:N20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DRM20g100g_batch10H 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sangsantipon witoonyoot</dc:creator>
  <cp:lastModifiedBy>sangsantipon witoonyoot</cp:lastModifiedBy>
  <dcterms:created xsi:type="dcterms:W3CDTF">2026-06-11T09:39:04Z</dcterms:created>
  <dcterms:modified xsi:type="dcterms:W3CDTF">2026-06-23T09:32:06Z</dcterms:modified>
</cp:coreProperties>
</file>